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7795" windowHeight="11835"/>
  </bookViews>
  <sheets>
    <sheet name="Оценка_6 мес" sheetId="1" r:id="rId1"/>
  </sheets>
  <externalReferences>
    <externalReference r:id="rId2"/>
    <externalReference r:id="rId3"/>
  </externalReferences>
  <calcPr calcId="125725"/>
</workbook>
</file>

<file path=xl/calcChain.xml><?xml version="1.0" encoding="utf-8"?>
<calcChain xmlns="http://schemas.openxmlformats.org/spreadsheetml/2006/main">
  <c r="B26" i="1"/>
  <c r="V19"/>
  <c r="T19"/>
  <c r="G19"/>
  <c r="H19" s="1"/>
  <c r="W17"/>
  <c r="V17"/>
  <c r="T17"/>
  <c r="U17" s="1"/>
  <c r="J17"/>
  <c r="I17"/>
  <c r="H17"/>
  <c r="G17"/>
  <c r="F17"/>
  <c r="E17"/>
  <c r="D17"/>
  <c r="W16"/>
  <c r="V16"/>
  <c r="U16"/>
  <c r="T16"/>
  <c r="J16"/>
  <c r="I16"/>
  <c r="K16" s="1"/>
  <c r="H16"/>
  <c r="G16"/>
  <c r="F16"/>
  <c r="E16"/>
  <c r="D16"/>
  <c r="W15"/>
  <c r="V15"/>
  <c r="T15"/>
  <c r="U15" s="1"/>
  <c r="J15"/>
  <c r="I15"/>
  <c r="H15"/>
  <c r="G15"/>
  <c r="F15"/>
  <c r="E15"/>
  <c r="D15"/>
  <c r="W14"/>
  <c r="V14"/>
  <c r="T14"/>
  <c r="U14" s="1"/>
  <c r="J14"/>
  <c r="I14"/>
  <c r="H14"/>
  <c r="G14"/>
  <c r="F14"/>
  <c r="E14"/>
  <c r="D14"/>
  <c r="W13"/>
  <c r="V13"/>
  <c r="U13"/>
  <c r="T13"/>
  <c r="J13"/>
  <c r="I13"/>
  <c r="H13"/>
  <c r="G13"/>
  <c r="F13"/>
  <c r="E13"/>
  <c r="D13"/>
  <c r="W12"/>
  <c r="V12"/>
  <c r="T12"/>
  <c r="U12" s="1"/>
  <c r="J12"/>
  <c r="I12"/>
  <c r="H12"/>
  <c r="G12"/>
  <c r="F12"/>
  <c r="E12"/>
  <c r="D12"/>
  <c r="W11"/>
  <c r="V11"/>
  <c r="T11"/>
  <c r="U11" s="1"/>
  <c r="J11"/>
  <c r="I11"/>
  <c r="H11"/>
  <c r="G11"/>
  <c r="F11"/>
  <c r="E11"/>
  <c r="D11"/>
  <c r="W10"/>
  <c r="V10"/>
  <c r="U10"/>
  <c r="T10"/>
  <c r="J10"/>
  <c r="I10"/>
  <c r="D23" s="1"/>
  <c r="H10"/>
  <c r="G10"/>
  <c r="F10"/>
  <c r="E10"/>
  <c r="D10"/>
  <c r="A10"/>
  <c r="A11" s="1"/>
  <c r="A12" s="1"/>
  <c r="A13" s="1"/>
  <c r="A14" s="1"/>
  <c r="A15" s="1"/>
  <c r="A16" s="1"/>
  <c r="A17" s="1"/>
  <c r="W9"/>
  <c r="V9"/>
  <c r="T9"/>
  <c r="U9" s="1"/>
  <c r="J9"/>
  <c r="J19" s="1"/>
  <c r="I9"/>
  <c r="G22" s="1"/>
  <c r="H9"/>
  <c r="G9"/>
  <c r="F9"/>
  <c r="F19" s="1"/>
  <c r="E9"/>
  <c r="E19" s="1"/>
  <c r="D9"/>
  <c r="D19" s="1"/>
  <c r="B8"/>
  <c r="C8" s="1"/>
  <c r="D8" s="1"/>
  <c r="E8" s="1"/>
  <c r="F8" s="1"/>
  <c r="G8" s="1"/>
  <c r="H8" s="1"/>
  <c r="I8" s="1"/>
  <c r="J8" s="1"/>
  <c r="K8" s="1"/>
  <c r="L8" s="1"/>
  <c r="M8" s="1"/>
  <c r="N8" s="1"/>
  <c r="O8" s="1"/>
  <c r="P8" s="1"/>
  <c r="Q8" s="1"/>
  <c r="R8" s="1"/>
  <c r="S8" s="1"/>
  <c r="T8" s="1"/>
  <c r="U8" s="1"/>
  <c r="V8" s="1"/>
  <c r="W8" s="1"/>
  <c r="X8" s="1"/>
  <c r="Y8" s="1"/>
  <c r="Z8" s="1"/>
  <c r="AA8" s="1"/>
  <c r="AB8" s="1"/>
  <c r="AC8" s="1"/>
  <c r="AD8" s="1"/>
  <c r="AE8" s="1"/>
  <c r="AF8" s="1"/>
  <c r="AG8" s="1"/>
  <c r="AH8" s="1"/>
  <c r="AI8" s="1"/>
  <c r="L16" l="1"/>
  <c r="E22"/>
  <c r="D22"/>
  <c r="F22"/>
  <c r="J21"/>
  <c r="E26"/>
  <c r="F21"/>
  <c r="J23"/>
  <c r="G21"/>
  <c r="E21"/>
  <c r="G23"/>
  <c r="D21"/>
  <c r="F23"/>
  <c r="E23"/>
  <c r="J22"/>
  <c r="N16" l="1"/>
  <c r="N13"/>
  <c r="N9"/>
  <c r="N15"/>
  <c r="N12"/>
  <c r="J26"/>
  <c r="M16"/>
  <c r="L26"/>
  <c r="N26" s="1"/>
  <c r="N17" s="1"/>
  <c r="O17" l="1"/>
  <c r="P17" s="1"/>
  <c r="N14"/>
  <c r="O16"/>
  <c r="R16" s="1"/>
  <c r="N10"/>
  <c r="O13"/>
  <c r="P13" s="1"/>
  <c r="N11"/>
  <c r="O9"/>
  <c r="O15"/>
  <c r="P15"/>
  <c r="O12"/>
  <c r="P12" s="1"/>
  <c r="K12"/>
  <c r="K10"/>
  <c r="K11"/>
  <c r="K9"/>
  <c r="K17"/>
  <c r="K13"/>
  <c r="K14"/>
  <c r="K15"/>
  <c r="L12" l="1"/>
  <c r="R12" s="1"/>
  <c r="O10"/>
  <c r="P10" s="1"/>
  <c r="P16"/>
  <c r="S16" s="1"/>
  <c r="Z16" s="1"/>
  <c r="O14"/>
  <c r="P14" s="1"/>
  <c r="L9"/>
  <c r="L10"/>
  <c r="O11"/>
  <c r="P11"/>
  <c r="M14"/>
  <c r="L14"/>
  <c r="R14" s="1"/>
  <c r="L11"/>
  <c r="R11" s="1"/>
  <c r="L17"/>
  <c r="R17" s="1"/>
  <c r="L15"/>
  <c r="R15" s="1"/>
  <c r="P9"/>
  <c r="Y16"/>
  <c r="Q16"/>
  <c r="L13"/>
  <c r="R13" s="1"/>
  <c r="Q12" l="1"/>
  <c r="Y12"/>
  <c r="S14"/>
  <c r="Z14" s="1"/>
  <c r="Y13"/>
  <c r="Q13"/>
  <c r="O19"/>
  <c r="N19" s="1"/>
  <c r="L19"/>
  <c r="R9"/>
  <c r="M13"/>
  <c r="S13" s="1"/>
  <c r="Z13" s="1"/>
  <c r="Y14"/>
  <c r="Q15"/>
  <c r="Y15"/>
  <c r="M11"/>
  <c r="S11" s="1"/>
  <c r="Z11" s="1"/>
  <c r="M9"/>
  <c r="R10"/>
  <c r="M15"/>
  <c r="S15" s="1"/>
  <c r="Z15" s="1"/>
  <c r="P19"/>
  <c r="M10"/>
  <c r="S10" s="1"/>
  <c r="Z10" s="1"/>
  <c r="Y11"/>
  <c r="Y17"/>
  <c r="Q17"/>
  <c r="X16"/>
  <c r="M12"/>
  <c r="S12" s="1"/>
  <c r="Z12" s="1"/>
  <c r="M17"/>
  <c r="S17" s="1"/>
  <c r="Z17" s="1"/>
  <c r="X12" l="1"/>
  <c r="Y10"/>
  <c r="Q10"/>
  <c r="X15"/>
  <c r="X13"/>
  <c r="S9"/>
  <c r="M19"/>
  <c r="K19" s="1"/>
  <c r="X11"/>
  <c r="R19"/>
  <c r="Q9"/>
  <c r="Y9"/>
  <c r="X14"/>
  <c r="AA13"/>
  <c r="AA16"/>
  <c r="X17"/>
  <c r="AA15"/>
  <c r="Q11"/>
  <c r="Q14"/>
  <c r="Y19" l="1"/>
  <c r="X10"/>
  <c r="AA12"/>
  <c r="AA11"/>
  <c r="AA17"/>
  <c r="S19"/>
  <c r="Q19" s="1"/>
  <c r="Z9"/>
  <c r="X9" s="1"/>
  <c r="AA14"/>
  <c r="AA9" l="1"/>
  <c r="AA19" s="1"/>
  <c r="Z19"/>
  <c r="X19" s="1"/>
  <c r="AA10"/>
  <c r="X20" l="1"/>
  <c r="AB16"/>
  <c r="AB12"/>
  <c r="AB14"/>
  <c r="AB15"/>
  <c r="AB11"/>
  <c r="AB13"/>
  <c r="AB17"/>
  <c r="AB10"/>
  <c r="AB9"/>
  <c r="AC15" l="1"/>
  <c r="AC12"/>
  <c r="AC9"/>
  <c r="AC17"/>
  <c r="AC14"/>
  <c r="AC11"/>
  <c r="AC16"/>
  <c r="AC13"/>
  <c r="AC10"/>
  <c r="AD12" l="1"/>
  <c r="AG12" s="1"/>
  <c r="AD11"/>
  <c r="AG11" s="1"/>
  <c r="AE9"/>
  <c r="AH9" s="1"/>
  <c r="AD9"/>
  <c r="AG9" s="1"/>
  <c r="AC19"/>
  <c r="AC20" s="1"/>
  <c r="AE16"/>
  <c r="AH16" s="1"/>
  <c r="AD16"/>
  <c r="AG16" s="1"/>
  <c r="AD17"/>
  <c r="AG17" s="1"/>
  <c r="AD13"/>
  <c r="AG13" s="1"/>
  <c r="AD15"/>
  <c r="AG15" s="1"/>
  <c r="AD14"/>
  <c r="AG14" s="1"/>
  <c r="AD10"/>
  <c r="AG10" s="1"/>
  <c r="AF13" l="1"/>
  <c r="AF12"/>
  <c r="AF15"/>
  <c r="AE12"/>
  <c r="AH12" s="1"/>
  <c r="AE15"/>
  <c r="AH15" s="1"/>
  <c r="AF11"/>
  <c r="AF14"/>
  <c r="AE11"/>
  <c r="AH11" s="1"/>
  <c r="AE14"/>
  <c r="AH14" s="1"/>
  <c r="AF9"/>
  <c r="AG19"/>
  <c r="AE10"/>
  <c r="AH10" s="1"/>
  <c r="AH19" s="1"/>
  <c r="AF16"/>
  <c r="AF17"/>
  <c r="AE17"/>
  <c r="AH17" s="1"/>
  <c r="AE13"/>
  <c r="AH13" s="1"/>
  <c r="AF10" l="1"/>
  <c r="AF19" s="1"/>
  <c r="AF20" s="1"/>
</calcChain>
</file>

<file path=xl/sharedStrings.xml><?xml version="1.0" encoding="utf-8"?>
<sst xmlns="http://schemas.openxmlformats.org/spreadsheetml/2006/main" count="81" uniqueCount="65">
  <si>
    <t xml:space="preserve">РАСЧЕТ
размера стимулирующих выплат с учетом показателей результативности деятельности медицинских организаций </t>
  </si>
  <si>
    <t>за декабрь 2025 года - май 2026 года</t>
  </si>
  <si>
    <t>№ п/п</t>
  </si>
  <si>
    <t>Наименование медицинской организации</t>
  </si>
  <si>
    <t>Код МО</t>
  </si>
  <si>
    <t>Оценка по баллам</t>
  </si>
  <si>
    <t>Среднемесячная численность прикрепленного населения за отчетный период</t>
  </si>
  <si>
    <r>
      <t>Размер стимулирующих выплат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>I часть)</t>
    </r>
    <r>
      <rPr>
        <sz val="14"/>
        <color theme="1"/>
        <rFont val="Cambria"/>
        <family val="1"/>
        <charset val="204"/>
        <scheme val="major"/>
      </rPr>
      <t>, рублей</t>
    </r>
  </si>
  <si>
    <r>
      <t>Размер стимулирующих выплат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>II часть)</t>
    </r>
    <r>
      <rPr>
        <sz val="14"/>
        <color theme="1"/>
        <rFont val="Cambria"/>
        <family val="1"/>
        <charset val="204"/>
        <scheme val="major"/>
      </rPr>
      <t>, рублей</t>
    </r>
  </si>
  <si>
    <r>
      <t>Размер стимулирующих выплат, начисленных медицинским организациям (</t>
    </r>
    <r>
      <rPr>
        <b/>
        <sz val="14"/>
        <color theme="1"/>
        <rFont val="Cambria"/>
        <family val="1"/>
        <charset val="204"/>
        <scheme val="major"/>
      </rPr>
      <t xml:space="preserve">I и II части) за отчетный период, </t>
    </r>
    <r>
      <rPr>
        <sz val="14"/>
        <color theme="1"/>
        <rFont val="Cambria"/>
        <family val="1"/>
        <charset val="204"/>
        <scheme val="major"/>
      </rPr>
      <t xml:space="preserve"> рублей</t>
    </r>
  </si>
  <si>
    <t>Выполнение плана посещений с проф и иными целями и обращений по заболеванию, %</t>
  </si>
  <si>
    <t>Коэффициент с учетом выполнения установленных объемов (К об)</t>
  </si>
  <si>
    <t>Показатель смертности, "-" снижение, "+" увеличение, %</t>
  </si>
  <si>
    <t>Коэффициент с учетом выполнения показателя смертности (К см)</t>
  </si>
  <si>
    <t>Размер стимулирующих выплат с учетом показателей результативности деятельности медицинских организаций и выполнения показателей по утвержденным объемам и показателей смертности прикрепленного населения, рублей</t>
  </si>
  <si>
    <t>Отклонение: гр.17 - гр.24, рублей</t>
  </si>
  <si>
    <t>Доля размера выплаты в общем объеме средств, коэффициент</t>
  </si>
  <si>
    <t>Дополнительное распределение средств, предусмотренных на стимулирующие выплаты, рублей</t>
  </si>
  <si>
    <r>
      <rPr>
        <b/>
        <sz val="16"/>
        <color theme="1"/>
        <rFont val="Cambria"/>
        <family val="1"/>
        <charset val="204"/>
        <scheme val="major"/>
      </rPr>
      <t>ИТОГОВЫЙ размер стимулирующих выплат</t>
    </r>
    <r>
      <rPr>
        <sz val="16"/>
        <color theme="1"/>
        <rFont val="Cambria"/>
        <family val="1"/>
        <charset val="204"/>
        <scheme val="major"/>
      </rPr>
      <t xml:space="preserve"> </t>
    </r>
    <r>
      <rPr>
        <sz val="14"/>
        <color theme="1"/>
        <rFont val="Cambria"/>
        <family val="1"/>
        <charset val="204"/>
        <scheme val="major"/>
      </rPr>
      <t>с учетом показателей результативности деятельности медицинских организаций, выполнения показателей установленных объемов, показателей смертности прикрепленного населения и дополнительного распределения средств, рублей</t>
    </r>
  </si>
  <si>
    <t xml:space="preserve">Коментарий к сумме стимулирующих  выплат </t>
  </si>
  <si>
    <t>Максимальная сумма баллов</t>
  </si>
  <si>
    <t>Фактическая сумма баллов</t>
  </si>
  <si>
    <t>Максимальное количество показателей</t>
  </si>
  <si>
    <t>Фактически выполнено показателей</t>
  </si>
  <si>
    <t>Выполнение показателей, %</t>
  </si>
  <si>
    <t>Группа</t>
  </si>
  <si>
    <t>Всего</t>
  </si>
  <si>
    <t>СОГАЗ</t>
  </si>
  <si>
    <t>АЛЬФА</t>
  </si>
  <si>
    <t>ГОБУЗ "МОКБ"</t>
  </si>
  <si>
    <t>041</t>
  </si>
  <si>
    <t>2   группа  К об = 0,9   К см = 0,95</t>
  </si>
  <si>
    <t>ГОАУЗ "МОМЦ"</t>
  </si>
  <si>
    <t>062</t>
  </si>
  <si>
    <t>3   группа  К об = 1,0   К см = 1,00</t>
  </si>
  <si>
    <t>ГОБУЗ "МОДКБ"</t>
  </si>
  <si>
    <t>033</t>
  </si>
  <si>
    <r>
      <t xml:space="preserve">3   группа  К об = 1,00   </t>
    </r>
    <r>
      <rPr>
        <b/>
        <sz val="14"/>
        <color rgb="FFFF0000"/>
        <rFont val="Cambria"/>
        <family val="1"/>
        <charset val="204"/>
        <scheme val="major"/>
      </rPr>
      <t>К см = 0,00</t>
    </r>
  </si>
  <si>
    <t>ФГБУЗ "ММЦ" ФМБА</t>
  </si>
  <si>
    <t>030</t>
  </si>
  <si>
    <t>2  группа  К об = 1,0   К см = 1,0</t>
  </si>
  <si>
    <t>ФГБУЗ "МСЧ № 118" ФМБА</t>
  </si>
  <si>
    <t>037</t>
  </si>
  <si>
    <r>
      <t xml:space="preserve">2   группа  К об = 0,9  </t>
    </r>
    <r>
      <rPr>
        <b/>
        <sz val="14"/>
        <color rgb="FFFF0000"/>
        <rFont val="Cambria"/>
        <family val="1"/>
        <charset val="204"/>
        <scheme val="major"/>
      </rPr>
      <t xml:space="preserve"> К см = 0,00</t>
    </r>
  </si>
  <si>
    <t>ФГБУЗ "ЦМСЧ № 120" ФМБА</t>
  </si>
  <si>
    <t>038</t>
  </si>
  <si>
    <t>ФГБУН "КНЦ РАН"</t>
  </si>
  <si>
    <t>050</t>
  </si>
  <si>
    <r>
      <t xml:space="preserve">2   группа  К об = 0,9   </t>
    </r>
    <r>
      <rPr>
        <sz val="14"/>
        <rFont val="Cambria"/>
        <family val="1"/>
        <charset val="204"/>
        <scheme val="major"/>
      </rPr>
      <t>К см = 0,95</t>
    </r>
  </si>
  <si>
    <t>ФКУЗ "МСЧ МВД"</t>
  </si>
  <si>
    <t>168</t>
  </si>
  <si>
    <r>
      <t xml:space="preserve">1   группа </t>
    </r>
    <r>
      <rPr>
        <b/>
        <sz val="14"/>
        <color rgb="FFFF0000"/>
        <rFont val="Cambria"/>
        <family val="1"/>
        <charset val="204"/>
        <scheme val="major"/>
      </rPr>
      <t xml:space="preserve"> </t>
    </r>
  </si>
  <si>
    <t>ЧУЗ "ПК РЖД" г.Мурманск</t>
  </si>
  <si>
    <t>051</t>
  </si>
  <si>
    <t>3   группа  К об = 0,9   К см = 0,95</t>
  </si>
  <si>
    <t>ИТОГО</t>
  </si>
  <si>
    <t>Нераспределенная сумма, рублей</t>
  </si>
  <si>
    <t>1 группа</t>
  </si>
  <si>
    <t>2 группа</t>
  </si>
  <si>
    <t>3 группа</t>
  </si>
  <si>
    <t>Cовокупный объем средств на стимулирование медицинских организаций, рублей</t>
  </si>
  <si>
    <t>Объем средств, используемый при распределении 70% от объема средств на стимулирование медицинских организаций (I часть), рублей</t>
  </si>
  <si>
    <r>
      <t xml:space="preserve">Объем средств, используемый при распределении 70% от утвержденной суммы на стимулирование медицинских организаций, </t>
    </r>
    <r>
      <rPr>
        <b/>
        <sz val="14"/>
        <color theme="1"/>
        <rFont val="Cambria"/>
        <family val="1"/>
        <charset val="204"/>
        <scheme val="major"/>
      </rPr>
      <t xml:space="preserve">в расчете на 1 прикрепленное лицо </t>
    </r>
    <r>
      <rPr>
        <sz val="14"/>
        <color theme="1"/>
        <rFont val="Cambria"/>
        <family val="1"/>
        <charset val="204"/>
        <scheme val="major"/>
      </rPr>
      <t>(I часть), рублей</t>
    </r>
  </si>
  <si>
    <t>Объем средств, используемый при распределении 30% от объема средств на стимулирование медицинских организаций (II часть), рублей</t>
  </si>
  <si>
    <r>
      <t xml:space="preserve">Объем средств, используемый при распределении 30% от объема средств на стимулирование медицинских организаций, </t>
    </r>
    <r>
      <rPr>
        <b/>
        <sz val="14"/>
        <color theme="1"/>
        <rFont val="Cambria"/>
        <family val="1"/>
        <charset val="204"/>
        <scheme val="major"/>
      </rPr>
      <t>в расчете на 1 балл</t>
    </r>
    <r>
      <rPr>
        <sz val="14"/>
        <color theme="1"/>
        <rFont val="Cambria"/>
        <family val="1"/>
        <charset val="204"/>
        <scheme val="major"/>
      </rPr>
      <t xml:space="preserve"> (II часть), рублей</t>
    </r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</si>
</sst>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.000000000"/>
    <numFmt numFmtId="166" formatCode="#,##0.00000"/>
    <numFmt numFmtId="167" formatCode="#,##0.000"/>
    <numFmt numFmtId="168" formatCode="0.00000"/>
  </numFmts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i/>
      <sz val="14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sz val="16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4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name val="Cambria"/>
      <family val="1"/>
      <charset val="204"/>
      <scheme val="major"/>
    </font>
    <font>
      <b/>
      <sz val="14"/>
      <color rgb="FFFF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14" fontId="2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4" fontId="10" fillId="0" borderId="2" xfId="0" applyNumberFormat="1" applyFont="1" applyBorder="1" applyAlignment="1">
      <alignment horizontal="right" vertical="center"/>
    </xf>
    <xf numFmtId="0" fontId="2" fillId="0" borderId="2" xfId="0" applyFont="1" applyBorder="1"/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10" fillId="0" borderId="2" xfId="0" applyFont="1" applyBorder="1"/>
    <xf numFmtId="0" fontId="10" fillId="3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6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68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/>
    <xf numFmtId="3" fontId="1" fillId="0" borderId="6" xfId="0" applyNumberFormat="1" applyFont="1" applyBorder="1"/>
    <xf numFmtId="4" fontId="2" fillId="0" borderId="0" xfId="0" applyNumberFormat="1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3" fontId="1" fillId="0" borderId="2" xfId="0" applyNumberFormat="1" applyFont="1" applyBorder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5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</cellXfs>
  <cellStyles count="2">
    <cellStyle name="Обычный" xfId="0" builtinId="0"/>
    <cellStyle name="Обычный 14" xfId="1"/>
  </cellStyles>
  <dxfs count="5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04%20&#1055;&#1088;&#1086;&#1074;&#1077;&#1088;&#1082;&#1072;/2026%20&#1055;&#1088;&#1086;&#1074;&#1077;&#1088;&#1082;&#1072;/2026%20&#1054;&#1094;&#1077;&#1085;&#1082;&#1072;%20&#1076;&#1077;&#1103;&#1090;&#1077;&#1083;&#1100;&#1085;&#1086;&#1089;&#1090;&#1080;/&#1056;&#1072;&#1089;&#1095;&#1077;&#1090;%20&#1089;&#1090;&#1080;&#1084;&#1091;&#1083;&#1080;&#1088;&#1086;&#1074;&#1072;&#1085;&#1080;&#1103;%206%20&#1084;&#1077;&#1089;&#1103;&#1094;&#1077;&#1074;/&#1056;&#1072;&#1089;&#1095;&#1077;&#1090;%20&#1087;&#1086;&#1082;&#1072;&#1079;&#1072;&#1090;&#1077;&#1083;&#1077;&#1081;%20&#1086;&#1094;&#1077;&#1085;&#1082;&#1080;_2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04%20&#1055;&#1088;&#1086;&#1074;&#1077;&#1088;&#1082;&#1072;/2026%20&#1055;&#1088;&#1086;&#1074;&#1077;&#1088;&#1082;&#1072;/2026%20&#1054;&#1094;&#1077;&#1085;&#1082;&#1072;%20&#1076;&#1077;&#1103;&#1090;&#1077;&#1083;&#1100;&#1085;&#1086;&#1089;&#1090;&#1080;/&#1056;&#1072;&#1089;&#1095;&#1077;&#1090;%20&#1089;&#1090;&#1080;&#1084;&#1091;&#1083;&#1080;&#1088;&#1086;&#1074;&#1072;&#1085;&#1080;&#1103;%206%20&#1084;&#1077;&#1089;&#1103;&#1094;&#1077;&#1074;/&#1054;&#1094;&#1077;&#1085;&#1082;&#1072;%20&#1076;&#1077;&#1103;&#1090;&#1077;&#1083;&#1100;&#1085;&#1086;&#1089;&#1090;&#1080;_2_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Свод"/>
      <sheetName val="041"/>
      <sheetName val="062"/>
      <sheetName val="033"/>
      <sheetName val="030"/>
      <sheetName val="037"/>
      <sheetName val="038"/>
      <sheetName val="050"/>
      <sheetName val="168"/>
      <sheetName val="051"/>
      <sheetName val="Лист22"/>
      <sheetName val="Лист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">
          <cell r="E4">
            <v>140</v>
          </cell>
          <cell r="S4">
            <v>67</v>
          </cell>
          <cell r="T4">
            <v>57.575757575757578</v>
          </cell>
          <cell r="U4">
            <v>2</v>
          </cell>
        </row>
        <row r="5">
          <cell r="T5">
            <v>19</v>
          </cell>
        </row>
        <row r="6">
          <cell r="V6">
            <v>33</v>
          </cell>
        </row>
      </sheetData>
      <sheetData sheetId="25">
        <row r="4">
          <cell r="E4">
            <v>105</v>
          </cell>
          <cell r="S4">
            <v>62</v>
          </cell>
          <cell r="T4">
            <v>62.962962962962962</v>
          </cell>
          <cell r="U4">
            <v>3</v>
          </cell>
        </row>
        <row r="5">
          <cell r="T5">
            <v>17</v>
          </cell>
        </row>
        <row r="6">
          <cell r="V6">
            <v>27</v>
          </cell>
        </row>
      </sheetData>
      <sheetData sheetId="26">
        <row r="4">
          <cell r="E4">
            <v>66</v>
          </cell>
          <cell r="S4">
            <v>55</v>
          </cell>
          <cell r="T4">
            <v>83.333333333333343</v>
          </cell>
          <cell r="U4">
            <v>3</v>
          </cell>
        </row>
        <row r="5">
          <cell r="T5">
            <v>10</v>
          </cell>
        </row>
        <row r="6">
          <cell r="V6">
            <v>12</v>
          </cell>
        </row>
      </sheetData>
      <sheetData sheetId="27">
        <row r="4">
          <cell r="E4">
            <v>140</v>
          </cell>
          <cell r="S4">
            <v>61</v>
          </cell>
          <cell r="T4">
            <v>42.424242424242422</v>
          </cell>
          <cell r="U4">
            <v>2</v>
          </cell>
        </row>
        <row r="5">
          <cell r="T5">
            <v>14</v>
          </cell>
        </row>
        <row r="6">
          <cell r="V6">
            <v>33</v>
          </cell>
        </row>
      </sheetData>
      <sheetData sheetId="28">
        <row r="4">
          <cell r="E4">
            <v>140</v>
          </cell>
          <cell r="S4">
            <v>71.5</v>
          </cell>
          <cell r="T4">
            <v>54.54545454545454</v>
          </cell>
          <cell r="U4">
            <v>2</v>
          </cell>
        </row>
        <row r="5">
          <cell r="T5">
            <v>18</v>
          </cell>
        </row>
        <row r="6">
          <cell r="V6">
            <v>33</v>
          </cell>
        </row>
      </sheetData>
      <sheetData sheetId="29">
        <row r="4">
          <cell r="E4">
            <v>140</v>
          </cell>
          <cell r="S4">
            <v>91.5</v>
          </cell>
          <cell r="T4">
            <v>66.666666666666657</v>
          </cell>
          <cell r="U4">
            <v>3</v>
          </cell>
        </row>
        <row r="5">
          <cell r="T5">
            <v>22</v>
          </cell>
        </row>
        <row r="6">
          <cell r="V6">
            <v>33</v>
          </cell>
        </row>
      </sheetData>
      <sheetData sheetId="30">
        <row r="4">
          <cell r="E4">
            <v>105</v>
          </cell>
          <cell r="S4">
            <v>54.5</v>
          </cell>
          <cell r="T4">
            <v>55.555555555555557</v>
          </cell>
          <cell r="U4">
            <v>2</v>
          </cell>
        </row>
        <row r="5">
          <cell r="T5">
            <v>15</v>
          </cell>
        </row>
        <row r="6">
          <cell r="V6">
            <v>27</v>
          </cell>
        </row>
      </sheetData>
      <sheetData sheetId="31">
        <row r="4">
          <cell r="E4">
            <v>86</v>
          </cell>
          <cell r="S4">
            <v>33</v>
          </cell>
          <cell r="T4">
            <v>29.166666666666668</v>
          </cell>
          <cell r="U4">
            <v>1</v>
          </cell>
        </row>
        <row r="5">
          <cell r="T5">
            <v>7</v>
          </cell>
        </row>
        <row r="6">
          <cell r="V6">
            <v>24</v>
          </cell>
        </row>
      </sheetData>
      <sheetData sheetId="32">
        <row r="4">
          <cell r="E4">
            <v>105</v>
          </cell>
          <cell r="S4">
            <v>66.5</v>
          </cell>
          <cell r="T4">
            <v>66.666666666666657</v>
          </cell>
          <cell r="U4">
            <v>3</v>
          </cell>
        </row>
        <row r="5">
          <cell r="T5">
            <v>18</v>
          </cell>
        </row>
        <row r="6">
          <cell r="V6">
            <v>27</v>
          </cell>
        </row>
      </sheetData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Численность"/>
      <sheetName val="Выполнение_объемов"/>
      <sheetName val="Выполнение показ смертности"/>
      <sheetName val="Оценка_6 мес"/>
      <sheetName val="Анализ вып показ"/>
      <sheetName val="Стим_Запланировано"/>
      <sheetName val="Стим_факт по СК"/>
    </sheetNames>
    <sheetDataSet>
      <sheetData sheetId="0">
        <row r="8">
          <cell r="AN8">
            <v>306566</v>
          </cell>
          <cell r="AO8">
            <v>156743</v>
          </cell>
        </row>
        <row r="9">
          <cell r="AN9">
            <v>199898</v>
          </cell>
          <cell r="AO9">
            <v>154292</v>
          </cell>
        </row>
        <row r="10">
          <cell r="AN10">
            <v>50960</v>
          </cell>
          <cell r="AO10">
            <v>40340</v>
          </cell>
        </row>
        <row r="11">
          <cell r="AN11">
            <v>17215</v>
          </cell>
          <cell r="AO11">
            <v>9031</v>
          </cell>
        </row>
        <row r="12">
          <cell r="AN12">
            <v>15051</v>
          </cell>
          <cell r="AO12">
            <v>12755</v>
          </cell>
        </row>
        <row r="13">
          <cell r="AN13">
            <v>30475</v>
          </cell>
          <cell r="AO13">
            <v>9368</v>
          </cell>
        </row>
        <row r="14">
          <cell r="AN14">
            <v>5784</v>
          </cell>
          <cell r="AO14">
            <v>4073</v>
          </cell>
        </row>
        <row r="15">
          <cell r="AN15">
            <v>2333</v>
          </cell>
          <cell r="AO15">
            <v>1747</v>
          </cell>
        </row>
        <row r="16">
          <cell r="AN16">
            <v>9065</v>
          </cell>
          <cell r="AO16">
            <v>4138</v>
          </cell>
        </row>
      </sheetData>
      <sheetData sheetId="1">
        <row r="9">
          <cell r="N9">
            <v>88</v>
          </cell>
        </row>
        <row r="10">
          <cell r="N10">
            <v>93</v>
          </cell>
        </row>
        <row r="11">
          <cell r="N11">
            <v>105</v>
          </cell>
        </row>
        <row r="12">
          <cell r="N12">
            <v>101</v>
          </cell>
        </row>
        <row r="13">
          <cell r="N13">
            <v>71</v>
          </cell>
        </row>
        <row r="14">
          <cell r="N14">
            <v>90</v>
          </cell>
        </row>
        <row r="15">
          <cell r="N15">
            <v>80</v>
          </cell>
        </row>
        <row r="16">
          <cell r="N16">
            <v>1</v>
          </cell>
        </row>
        <row r="17">
          <cell r="N17">
            <v>84</v>
          </cell>
        </row>
      </sheetData>
      <sheetData sheetId="2">
        <row r="7">
          <cell r="Q7">
            <v>3</v>
          </cell>
          <cell r="R7">
            <v>0.95</v>
          </cell>
        </row>
        <row r="8">
          <cell r="Q8">
            <v>-8.1</v>
          </cell>
          <cell r="R8">
            <v>1</v>
          </cell>
        </row>
        <row r="9">
          <cell r="Q9">
            <v>55.464273566999999</v>
          </cell>
          <cell r="R9">
            <v>0</v>
          </cell>
        </row>
        <row r="10">
          <cell r="Q10">
            <v>-25</v>
          </cell>
          <cell r="R10">
            <v>1</v>
          </cell>
        </row>
        <row r="11">
          <cell r="Q11">
            <v>37</v>
          </cell>
          <cell r="R11">
            <v>0</v>
          </cell>
        </row>
        <row r="12">
          <cell r="Q12">
            <v>-32</v>
          </cell>
          <cell r="R12">
            <v>1</v>
          </cell>
        </row>
        <row r="13">
          <cell r="Q13">
            <v>1</v>
          </cell>
          <cell r="R13">
            <v>0.95</v>
          </cell>
        </row>
        <row r="14">
          <cell r="Q14">
            <v>12</v>
          </cell>
          <cell r="R14">
            <v>0.8</v>
          </cell>
        </row>
        <row r="15">
          <cell r="Q15">
            <v>5</v>
          </cell>
          <cell r="R15">
            <v>0.95</v>
          </cell>
        </row>
        <row r="17">
          <cell r="Q17">
            <v>-2.42</v>
          </cell>
        </row>
      </sheetData>
      <sheetData sheetId="3"/>
      <sheetData sheetId="4"/>
      <sheetData sheetId="5">
        <row r="17">
          <cell r="D17">
            <v>25032896.160000004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39997558519241921"/>
    <pageSetUpPr fitToPage="1"/>
  </sheetPr>
  <dimension ref="A1:AJ26"/>
  <sheetViews>
    <sheetView tabSelected="1" zoomScale="60" zoomScaleNormal="6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11" sqref="A11:XFD11"/>
    </sheetView>
  </sheetViews>
  <sheetFormatPr defaultColWidth="9.140625" defaultRowHeight="18"/>
  <cols>
    <col min="1" max="1" width="5.85546875" style="2" customWidth="1"/>
    <col min="2" max="2" width="36.5703125" style="2" customWidth="1"/>
    <col min="3" max="3" width="9.7109375" style="2" customWidth="1"/>
    <col min="4" max="4" width="19.42578125" style="2" customWidth="1"/>
    <col min="5" max="5" width="19.28515625" style="2" customWidth="1"/>
    <col min="6" max="6" width="18.42578125" style="2" customWidth="1"/>
    <col min="7" max="7" width="18.7109375" style="2" customWidth="1"/>
    <col min="8" max="8" width="18.140625" style="2" customWidth="1"/>
    <col min="9" max="9" width="12.28515625" style="2" customWidth="1"/>
    <col min="10" max="10" width="21.42578125" style="2" customWidth="1"/>
    <col min="11" max="11" width="17.5703125" style="2" customWidth="1"/>
    <col min="12" max="12" width="18.140625" style="2" customWidth="1"/>
    <col min="13" max="13" width="18.7109375" style="2" customWidth="1"/>
    <col min="14" max="14" width="22.42578125" style="2" customWidth="1"/>
    <col min="15" max="15" width="18.5703125" style="2" customWidth="1"/>
    <col min="16" max="16" width="19.85546875" style="2" customWidth="1"/>
    <col min="17" max="17" width="20" style="2" customWidth="1"/>
    <col min="18" max="18" width="19.28515625" style="2" customWidth="1"/>
    <col min="19" max="19" width="19.85546875" style="2" customWidth="1"/>
    <col min="20" max="20" width="19.28515625" style="2" customWidth="1"/>
    <col min="21" max="21" width="25.140625" style="8" customWidth="1"/>
    <col min="22" max="22" width="20" style="2" customWidth="1"/>
    <col min="23" max="23" width="22.140625" style="8" customWidth="1"/>
    <col min="24" max="25" width="19.5703125" style="2" customWidth="1"/>
    <col min="26" max="26" width="20.85546875" style="2" customWidth="1"/>
    <col min="27" max="27" width="20.7109375" style="2" customWidth="1"/>
    <col min="28" max="28" width="19.28515625" style="2" customWidth="1"/>
    <col min="29" max="29" width="20" style="2" customWidth="1"/>
    <col min="30" max="30" width="20.42578125" style="2" customWidth="1"/>
    <col min="31" max="31" width="18" style="2" customWidth="1"/>
    <col min="32" max="34" width="21.140625" style="2" customWidth="1"/>
    <col min="35" max="35" width="41.5703125" style="2" customWidth="1"/>
    <col min="36" max="16384" width="9.140625" style="2"/>
  </cols>
  <sheetData>
    <row r="1" spans="1:36" ht="6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6" ht="36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</row>
    <row r="3" spans="1:36" ht="24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AA3" s="7"/>
    </row>
    <row r="4" spans="1:36" ht="9" customHeight="1"/>
    <row r="5" spans="1:36" s="9" customFormat="1" ht="7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8"/>
      <c r="V5" s="2"/>
      <c r="W5" s="8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6" s="9" customFormat="1" ht="132.75" customHeight="1">
      <c r="A6" s="10" t="s">
        <v>2</v>
      </c>
      <c r="B6" s="10" t="s">
        <v>3</v>
      </c>
      <c r="C6" s="11" t="s">
        <v>4</v>
      </c>
      <c r="D6" s="11" t="s">
        <v>5</v>
      </c>
      <c r="E6" s="11"/>
      <c r="F6" s="11"/>
      <c r="G6" s="11"/>
      <c r="H6" s="11"/>
      <c r="I6" s="11"/>
      <c r="J6" s="12" t="s">
        <v>6</v>
      </c>
      <c r="K6" s="13" t="s">
        <v>7</v>
      </c>
      <c r="L6" s="14"/>
      <c r="M6" s="15"/>
      <c r="N6" s="13" t="s">
        <v>8</v>
      </c>
      <c r="O6" s="14"/>
      <c r="P6" s="15"/>
      <c r="Q6" s="13" t="s">
        <v>9</v>
      </c>
      <c r="R6" s="14"/>
      <c r="S6" s="15"/>
      <c r="T6" s="12" t="s">
        <v>10</v>
      </c>
      <c r="U6" s="16" t="s">
        <v>11</v>
      </c>
      <c r="V6" s="12" t="s">
        <v>12</v>
      </c>
      <c r="W6" s="16" t="s">
        <v>13</v>
      </c>
      <c r="X6" s="17" t="s">
        <v>14</v>
      </c>
      <c r="Y6" s="18"/>
      <c r="Z6" s="19"/>
      <c r="AA6" s="12" t="s">
        <v>15</v>
      </c>
      <c r="AB6" s="20" t="s">
        <v>16</v>
      </c>
      <c r="AC6" s="12" t="s">
        <v>17</v>
      </c>
      <c r="AD6" s="12"/>
      <c r="AE6" s="12"/>
      <c r="AF6" s="12" t="s">
        <v>18</v>
      </c>
      <c r="AG6" s="12"/>
      <c r="AH6" s="12"/>
      <c r="AI6" s="20" t="s">
        <v>19</v>
      </c>
    </row>
    <row r="7" spans="1:36" s="9" customFormat="1" ht="96" customHeight="1">
      <c r="A7" s="21"/>
      <c r="B7" s="21"/>
      <c r="C7" s="11"/>
      <c r="D7" s="22" t="s">
        <v>20</v>
      </c>
      <c r="E7" s="22" t="s">
        <v>21</v>
      </c>
      <c r="F7" s="22" t="s">
        <v>22</v>
      </c>
      <c r="G7" s="22" t="s">
        <v>23</v>
      </c>
      <c r="H7" s="22" t="s">
        <v>24</v>
      </c>
      <c r="I7" s="23" t="s">
        <v>25</v>
      </c>
      <c r="J7" s="12"/>
      <c r="K7" s="23" t="s">
        <v>26</v>
      </c>
      <c r="L7" s="23" t="s">
        <v>27</v>
      </c>
      <c r="M7" s="23" t="s">
        <v>28</v>
      </c>
      <c r="N7" s="23" t="s">
        <v>26</v>
      </c>
      <c r="O7" s="23" t="s">
        <v>27</v>
      </c>
      <c r="P7" s="23" t="s">
        <v>28</v>
      </c>
      <c r="Q7" s="23" t="s">
        <v>26</v>
      </c>
      <c r="R7" s="23" t="s">
        <v>27</v>
      </c>
      <c r="S7" s="23" t="s">
        <v>28</v>
      </c>
      <c r="T7" s="12"/>
      <c r="U7" s="16"/>
      <c r="V7" s="12"/>
      <c r="W7" s="16"/>
      <c r="X7" s="23" t="s">
        <v>26</v>
      </c>
      <c r="Y7" s="23" t="s">
        <v>27</v>
      </c>
      <c r="Z7" s="23" t="s">
        <v>28</v>
      </c>
      <c r="AA7" s="12"/>
      <c r="AB7" s="24"/>
      <c r="AC7" s="23" t="s">
        <v>26</v>
      </c>
      <c r="AD7" s="23" t="s">
        <v>27</v>
      </c>
      <c r="AE7" s="23" t="s">
        <v>28</v>
      </c>
      <c r="AF7" s="23" t="s">
        <v>26</v>
      </c>
      <c r="AG7" s="23" t="s">
        <v>27</v>
      </c>
      <c r="AH7" s="23" t="s">
        <v>28</v>
      </c>
      <c r="AI7" s="24"/>
    </row>
    <row r="8" spans="1:36" s="26" customFormat="1" ht="31.5" customHeight="1">
      <c r="A8" s="25">
        <v>1</v>
      </c>
      <c r="B8" s="25">
        <f>A8+1</f>
        <v>2</v>
      </c>
      <c r="C8" s="25">
        <f t="shared" ref="C8:AI8" si="0">B8+1</f>
        <v>3</v>
      </c>
      <c r="D8" s="25">
        <f t="shared" si="0"/>
        <v>4</v>
      </c>
      <c r="E8" s="25">
        <f t="shared" si="0"/>
        <v>5</v>
      </c>
      <c r="F8" s="25">
        <f t="shared" si="0"/>
        <v>6</v>
      </c>
      <c r="G8" s="25">
        <f t="shared" si="0"/>
        <v>7</v>
      </c>
      <c r="H8" s="25">
        <f t="shared" si="0"/>
        <v>8</v>
      </c>
      <c r="I8" s="25">
        <f t="shared" si="0"/>
        <v>9</v>
      </c>
      <c r="J8" s="25">
        <f t="shared" si="0"/>
        <v>10</v>
      </c>
      <c r="K8" s="25">
        <f t="shared" si="0"/>
        <v>11</v>
      </c>
      <c r="L8" s="25">
        <f t="shared" si="0"/>
        <v>12</v>
      </c>
      <c r="M8" s="25">
        <f t="shared" si="0"/>
        <v>13</v>
      </c>
      <c r="N8" s="25">
        <f t="shared" si="0"/>
        <v>14</v>
      </c>
      <c r="O8" s="25">
        <f t="shared" si="0"/>
        <v>15</v>
      </c>
      <c r="P8" s="25">
        <f t="shared" si="0"/>
        <v>16</v>
      </c>
      <c r="Q8" s="25">
        <f t="shared" si="0"/>
        <v>17</v>
      </c>
      <c r="R8" s="25">
        <f t="shared" si="0"/>
        <v>18</v>
      </c>
      <c r="S8" s="25">
        <f t="shared" si="0"/>
        <v>19</v>
      </c>
      <c r="T8" s="25">
        <f t="shared" si="0"/>
        <v>20</v>
      </c>
      <c r="U8" s="25">
        <f t="shared" si="0"/>
        <v>21</v>
      </c>
      <c r="V8" s="25">
        <f t="shared" si="0"/>
        <v>22</v>
      </c>
      <c r="W8" s="25">
        <f t="shared" si="0"/>
        <v>23</v>
      </c>
      <c r="X8" s="25">
        <f t="shared" si="0"/>
        <v>24</v>
      </c>
      <c r="Y8" s="25">
        <f t="shared" si="0"/>
        <v>25</v>
      </c>
      <c r="Z8" s="25">
        <f t="shared" si="0"/>
        <v>26</v>
      </c>
      <c r="AA8" s="25">
        <f t="shared" si="0"/>
        <v>27</v>
      </c>
      <c r="AB8" s="25">
        <f t="shared" si="0"/>
        <v>28</v>
      </c>
      <c r="AC8" s="25">
        <f t="shared" si="0"/>
        <v>29</v>
      </c>
      <c r="AD8" s="25">
        <f t="shared" si="0"/>
        <v>30</v>
      </c>
      <c r="AE8" s="25">
        <f t="shared" si="0"/>
        <v>31</v>
      </c>
      <c r="AF8" s="25">
        <f t="shared" si="0"/>
        <v>32</v>
      </c>
      <c r="AG8" s="25">
        <f t="shared" si="0"/>
        <v>33</v>
      </c>
      <c r="AH8" s="25">
        <f t="shared" si="0"/>
        <v>34</v>
      </c>
      <c r="AI8" s="25">
        <f t="shared" si="0"/>
        <v>35</v>
      </c>
    </row>
    <row r="9" spans="1:36" s="40" customFormat="1" ht="24.95" customHeight="1">
      <c r="A9" s="27">
        <v>1</v>
      </c>
      <c r="B9" s="28" t="s">
        <v>29</v>
      </c>
      <c r="C9" s="29" t="s">
        <v>30</v>
      </c>
      <c r="D9" s="30">
        <f>'[1]041'!$E$4</f>
        <v>140</v>
      </c>
      <c r="E9" s="31">
        <f>'[1]041'!$S$4</f>
        <v>67</v>
      </c>
      <c r="F9" s="30">
        <f>'[1]041'!$V$6</f>
        <v>33</v>
      </c>
      <c r="G9" s="30">
        <f>'[1]041'!$T$5</f>
        <v>19</v>
      </c>
      <c r="H9" s="30">
        <f>'[1]041'!$T$4</f>
        <v>57.575757575757578</v>
      </c>
      <c r="I9" s="30">
        <f>'[1]041'!$U$4</f>
        <v>2</v>
      </c>
      <c r="J9" s="30">
        <f>[2]Численность!AN8</f>
        <v>306566</v>
      </c>
      <c r="K9" s="32">
        <f>ROUND(IF(OR(I9=2,I9=3),$J$26*J9,0),2)</f>
        <v>8459599.9299999997</v>
      </c>
      <c r="L9" s="32">
        <f>ROUND(K9/J9*[2]Численность!AO8,2)</f>
        <v>4325277.66</v>
      </c>
      <c r="M9" s="32">
        <f>K9-L9</f>
        <v>4134322.2699999996</v>
      </c>
      <c r="N9" s="32">
        <f>ROUND(IF(AND($J$23=0,I9=2),$L$26/$J$22*J9,IF(AND($J$23&gt;0,I9=3),$N$26*E9,0)),2)</f>
        <v>0</v>
      </c>
      <c r="O9" s="32">
        <f>ROUND(N9/J9*[2]Численность!AO8,2)</f>
        <v>0</v>
      </c>
      <c r="P9" s="32">
        <f t="shared" ref="P9:P17" si="1">N9-O9</f>
        <v>0</v>
      </c>
      <c r="Q9" s="32">
        <f>R9+S9</f>
        <v>8459599.9299999997</v>
      </c>
      <c r="R9" s="32">
        <f>L9+O9</f>
        <v>4325277.66</v>
      </c>
      <c r="S9" s="32">
        <f>M9+P9</f>
        <v>4134322.2699999996</v>
      </c>
      <c r="T9" s="30">
        <f>[2]Выполнение_объемов!N9</f>
        <v>88</v>
      </c>
      <c r="U9" s="33">
        <f t="shared" ref="U9:U17" si="2">IF(T9&gt;=90,1,IF(AND(T9&gt;=70,T9&lt;=89),0.9,IF(AND(T9&gt;=60,T9&lt;=69),0.75,IF(AND(T9&gt;=50,T9&lt;=59),0.5,IF(T9&lt;50,0)))))</f>
        <v>0.9</v>
      </c>
      <c r="V9" s="34">
        <f>'[2]Выполнение показ смертности'!Q7</f>
        <v>3</v>
      </c>
      <c r="W9" s="33">
        <f>'[2]Выполнение показ смертности'!R7</f>
        <v>0.95</v>
      </c>
      <c r="X9" s="35">
        <f t="shared" ref="X9:X17" si="3">Y9+Z9</f>
        <v>7232957.9399999995</v>
      </c>
      <c r="Y9" s="35">
        <f t="shared" ref="Y9:Y17" si="4">ROUND(R9*U9*W9,2)</f>
        <v>3698112.4</v>
      </c>
      <c r="Z9" s="35">
        <f t="shared" ref="Z9:Z17" si="5">ROUND(S9*U9*W9,2)</f>
        <v>3534845.54</v>
      </c>
      <c r="AA9" s="35">
        <f>Q9-X9</f>
        <v>1226641.9900000002</v>
      </c>
      <c r="AB9" s="36">
        <f>IFERROR(X9/$X$19,0)</f>
        <v>0.35877788274675365</v>
      </c>
      <c r="AC9" s="37">
        <f>ROUND(IF(AND($X$20&gt;0,X9&gt;0),$X$20*AB9,0),2)</f>
        <v>1748291.54</v>
      </c>
      <c r="AD9" s="32">
        <f>ROUND(AC9/J9*[2]Численность!AO8,2)</f>
        <v>893877.54</v>
      </c>
      <c r="AE9" s="32">
        <f t="shared" ref="AE9:AE17" si="6">AC9-AD9</f>
        <v>854414</v>
      </c>
      <c r="AF9" s="35">
        <f t="shared" ref="AF9:AF17" si="7">AG9+AH9</f>
        <v>8981249.4800000004</v>
      </c>
      <c r="AG9" s="35">
        <f>Y9+AD9</f>
        <v>4591989.9399999995</v>
      </c>
      <c r="AH9" s="35">
        <f t="shared" ref="AH9:AH17" si="8">Z9+AE9</f>
        <v>4389259.54</v>
      </c>
      <c r="AI9" s="38" t="s">
        <v>31</v>
      </c>
      <c r="AJ9" s="39"/>
    </row>
    <row r="10" spans="1:36" s="40" customFormat="1" ht="24.95" customHeight="1">
      <c r="A10" s="27">
        <f>A9+1</f>
        <v>2</v>
      </c>
      <c r="B10" s="41" t="s">
        <v>32</v>
      </c>
      <c r="C10" s="29" t="s">
        <v>33</v>
      </c>
      <c r="D10" s="30">
        <f>'[1]062'!$E$4</f>
        <v>105</v>
      </c>
      <c r="E10" s="31">
        <f>'[1]062'!$S$4</f>
        <v>62</v>
      </c>
      <c r="F10" s="30">
        <f>'[1]062'!$V$6</f>
        <v>27</v>
      </c>
      <c r="G10" s="30">
        <f>'[1]062'!$T$5</f>
        <v>17</v>
      </c>
      <c r="H10" s="30">
        <f>'[1]062'!$T$4</f>
        <v>62.962962962962962</v>
      </c>
      <c r="I10" s="30">
        <f>'[1]062'!$U$4</f>
        <v>3</v>
      </c>
      <c r="J10" s="30">
        <f>[2]Численность!AN9</f>
        <v>199898</v>
      </c>
      <c r="K10" s="32">
        <f t="shared" ref="K10:K17" si="9">ROUND(IF(OR(I10=2,I10=3),$J$26*J10,0),2)</f>
        <v>5516127.3799999999</v>
      </c>
      <c r="L10" s="32">
        <f>ROUND(K10/J10*[2]Численность!AO9,2)</f>
        <v>4257643.03</v>
      </c>
      <c r="M10" s="32">
        <f t="shared" ref="M10:M17" si="10">K10-L10</f>
        <v>1258484.3499999996</v>
      </c>
      <c r="N10" s="32">
        <f>ROUND(IF(AND($J$23=0,I10=2),$L$26/$J$22*J10,IF(AND($J$23&gt;0,I10=3),$N$26*E10,0)),2)</f>
        <v>1693134.07</v>
      </c>
      <c r="O10" s="32">
        <f>ROUND(N10/J10*[2]Численность!AO9,2)</f>
        <v>1306851.7</v>
      </c>
      <c r="P10" s="32">
        <f t="shared" si="1"/>
        <v>386282.37000000011</v>
      </c>
      <c r="Q10" s="32">
        <f t="shared" ref="Q10:Q17" si="11">R10+S10</f>
        <v>7209261.4500000002</v>
      </c>
      <c r="R10" s="32">
        <f t="shared" ref="R10:S17" si="12">L10+O10</f>
        <v>5564494.7300000004</v>
      </c>
      <c r="S10" s="32">
        <f t="shared" si="12"/>
        <v>1644766.7199999997</v>
      </c>
      <c r="T10" s="30">
        <f>[2]Выполнение_объемов!N10</f>
        <v>93</v>
      </c>
      <c r="U10" s="33">
        <f t="shared" si="2"/>
        <v>1</v>
      </c>
      <c r="V10" s="34">
        <f>'[2]Выполнение показ смертности'!Q8</f>
        <v>-8.1</v>
      </c>
      <c r="W10" s="33">
        <f>'[2]Выполнение показ смертности'!R8</f>
        <v>1</v>
      </c>
      <c r="X10" s="35">
        <f t="shared" si="3"/>
        <v>7209261.4500000002</v>
      </c>
      <c r="Y10" s="35">
        <f t="shared" si="4"/>
        <v>5564494.7300000004</v>
      </c>
      <c r="Z10" s="35">
        <f t="shared" si="5"/>
        <v>1644766.72</v>
      </c>
      <c r="AA10" s="35">
        <f t="shared" ref="AA10:AA17" si="13">Q10-X10</f>
        <v>0</v>
      </c>
      <c r="AB10" s="36">
        <f t="shared" ref="AB10:AB17" si="14">IFERROR(X10/$X$19,0)</f>
        <v>0.35760246093713516</v>
      </c>
      <c r="AC10" s="37">
        <f t="shared" ref="AC10:AC17" si="15">ROUND(IF(AND($X$20&gt;0,X10&gt;0),$X$20*AB10,0),2)</f>
        <v>1742563.82</v>
      </c>
      <c r="AD10" s="32">
        <f>ROUND(AC10/J10*[2]Численность!AO9,2)</f>
        <v>1345004.24</v>
      </c>
      <c r="AE10" s="32">
        <f t="shared" si="6"/>
        <v>397559.58000000007</v>
      </c>
      <c r="AF10" s="35">
        <f t="shared" si="7"/>
        <v>8951825.2700000014</v>
      </c>
      <c r="AG10" s="35">
        <f t="shared" ref="AG10:AG17" si="16">Y10+AD10</f>
        <v>6909498.9700000007</v>
      </c>
      <c r="AH10" s="35">
        <f t="shared" si="8"/>
        <v>2042326.3</v>
      </c>
      <c r="AI10" s="38" t="s">
        <v>34</v>
      </c>
      <c r="AJ10" s="39"/>
    </row>
    <row r="11" spans="1:36" s="40" customFormat="1" ht="24.95" customHeight="1">
      <c r="A11" s="27">
        <f t="shared" ref="A11:A17" si="17">A10+1</f>
        <v>3</v>
      </c>
      <c r="B11" s="41" t="s">
        <v>35</v>
      </c>
      <c r="C11" s="29" t="s">
        <v>36</v>
      </c>
      <c r="D11" s="30">
        <f>'[1]033'!$E$4</f>
        <v>66</v>
      </c>
      <c r="E11" s="31">
        <f>'[1]033'!$S$4</f>
        <v>55</v>
      </c>
      <c r="F11" s="30">
        <f>'[1]033'!$V$6</f>
        <v>12</v>
      </c>
      <c r="G11" s="30">
        <f>'[1]033'!$T$5</f>
        <v>10</v>
      </c>
      <c r="H11" s="30">
        <f>'[1]033'!$T$4</f>
        <v>83.333333333333343</v>
      </c>
      <c r="I11" s="30">
        <f>'[1]033'!$U$4</f>
        <v>3</v>
      </c>
      <c r="J11" s="30">
        <f>[2]Численность!AN10</f>
        <v>50960</v>
      </c>
      <c r="K11" s="32">
        <f t="shared" si="9"/>
        <v>1406226.43</v>
      </c>
      <c r="L11" s="32">
        <f>ROUND(K11/J11*[2]Численность!AO10,2)</f>
        <v>1113170.6100000001</v>
      </c>
      <c r="M11" s="32">
        <f t="shared" si="10"/>
        <v>293055.81999999983</v>
      </c>
      <c r="N11" s="32">
        <f>ROUND(IF(AND($J$23=0,I11=2),$L$26/$J$22*J11,IF(AND($J$23&gt;0,I11=3),$N$26*E11,0)),2)</f>
        <v>1501973.77</v>
      </c>
      <c r="O11" s="32">
        <f>ROUND(N11/J11*[2]Численность!AO10,2)</f>
        <v>1188964.32</v>
      </c>
      <c r="P11" s="32">
        <f t="shared" si="1"/>
        <v>313009.44999999995</v>
      </c>
      <c r="Q11" s="32">
        <f t="shared" si="11"/>
        <v>2908200.2</v>
      </c>
      <c r="R11" s="32">
        <f t="shared" si="12"/>
        <v>2302134.9300000002</v>
      </c>
      <c r="S11" s="32">
        <f t="shared" si="12"/>
        <v>606065.26999999979</v>
      </c>
      <c r="T11" s="30">
        <f>[2]Выполнение_объемов!N11</f>
        <v>105</v>
      </c>
      <c r="U11" s="33">
        <f t="shared" si="2"/>
        <v>1</v>
      </c>
      <c r="V11" s="34">
        <f>'[2]Выполнение показ смертности'!Q9</f>
        <v>55.464273566999999</v>
      </c>
      <c r="W11" s="33">
        <f>'[2]Выполнение показ смертности'!R9</f>
        <v>0</v>
      </c>
      <c r="X11" s="35">
        <f t="shared" si="3"/>
        <v>0</v>
      </c>
      <c r="Y11" s="35">
        <f t="shared" si="4"/>
        <v>0</v>
      </c>
      <c r="Z11" s="35">
        <f t="shared" si="5"/>
        <v>0</v>
      </c>
      <c r="AA11" s="35">
        <f t="shared" si="13"/>
        <v>2908200.2</v>
      </c>
      <c r="AB11" s="36">
        <f t="shared" si="14"/>
        <v>0</v>
      </c>
      <c r="AC11" s="37">
        <f t="shared" si="15"/>
        <v>0</v>
      </c>
      <c r="AD11" s="32">
        <f>ROUND(AC11/J11*[2]Численность!AO10,2)</f>
        <v>0</v>
      </c>
      <c r="AE11" s="32">
        <f t="shared" si="6"/>
        <v>0</v>
      </c>
      <c r="AF11" s="35">
        <f t="shared" si="7"/>
        <v>0</v>
      </c>
      <c r="AG11" s="35">
        <f t="shared" si="16"/>
        <v>0</v>
      </c>
      <c r="AH11" s="35">
        <f t="shared" si="8"/>
        <v>0</v>
      </c>
      <c r="AI11" s="42" t="s">
        <v>37</v>
      </c>
      <c r="AJ11" s="39"/>
    </row>
    <row r="12" spans="1:36" s="40" customFormat="1" ht="24.95" customHeight="1">
      <c r="A12" s="27">
        <f t="shared" si="17"/>
        <v>4</v>
      </c>
      <c r="B12" s="41" t="s">
        <v>38</v>
      </c>
      <c r="C12" s="29" t="s">
        <v>39</v>
      </c>
      <c r="D12" s="30">
        <f>'[1]030'!$E$4</f>
        <v>140</v>
      </c>
      <c r="E12" s="31">
        <f>'[1]030'!$S$4</f>
        <v>61</v>
      </c>
      <c r="F12" s="30">
        <f>'[1]030'!$V$6</f>
        <v>33</v>
      </c>
      <c r="G12" s="30">
        <f>'[1]030'!$T$5</f>
        <v>14</v>
      </c>
      <c r="H12" s="30">
        <f>'[1]030'!$T$4</f>
        <v>42.424242424242422</v>
      </c>
      <c r="I12" s="30">
        <f>'[1]030'!$U$4</f>
        <v>2</v>
      </c>
      <c r="J12" s="30">
        <f>[2]Численность!AN11</f>
        <v>17215</v>
      </c>
      <c r="K12" s="32">
        <f t="shared" si="9"/>
        <v>475042.94</v>
      </c>
      <c r="L12" s="32">
        <f>ROUND(K12/J12*[2]Численность!AO11,2)</f>
        <v>249207.83</v>
      </c>
      <c r="M12" s="32">
        <f t="shared" si="10"/>
        <v>225835.11000000002</v>
      </c>
      <c r="N12" s="32">
        <f t="shared" ref="N12:N17" si="18">ROUND(IF(AND($J$23=0,I12=2),$L$26/$J$22*J12,IF(AND($J$23&gt;0,I12=3),$N$26*E12,0)),2)</f>
        <v>0</v>
      </c>
      <c r="O12" s="32">
        <f>ROUND(N12/J12*[2]Численность!AO11,2)</f>
        <v>0</v>
      </c>
      <c r="P12" s="32">
        <f t="shared" si="1"/>
        <v>0</v>
      </c>
      <c r="Q12" s="32">
        <f t="shared" si="11"/>
        <v>475042.94</v>
      </c>
      <c r="R12" s="32">
        <f t="shared" si="12"/>
        <v>249207.83</v>
      </c>
      <c r="S12" s="32">
        <f t="shared" si="12"/>
        <v>225835.11000000002</v>
      </c>
      <c r="T12" s="30">
        <f>[2]Выполнение_объемов!N12</f>
        <v>101</v>
      </c>
      <c r="U12" s="33">
        <f t="shared" si="2"/>
        <v>1</v>
      </c>
      <c r="V12" s="34">
        <f>'[2]Выполнение показ смертности'!Q10</f>
        <v>-25</v>
      </c>
      <c r="W12" s="33">
        <f>'[2]Выполнение показ смертности'!R10</f>
        <v>1</v>
      </c>
      <c r="X12" s="35">
        <f t="shared" si="3"/>
        <v>475042.93999999994</v>
      </c>
      <c r="Y12" s="35">
        <f t="shared" si="4"/>
        <v>249207.83</v>
      </c>
      <c r="Z12" s="35">
        <f t="shared" si="5"/>
        <v>225835.11</v>
      </c>
      <c r="AA12" s="35">
        <f t="shared" si="13"/>
        <v>0</v>
      </c>
      <c r="AB12" s="36">
        <f t="shared" si="14"/>
        <v>2.3563651502028937E-2</v>
      </c>
      <c r="AC12" s="37">
        <f t="shared" si="15"/>
        <v>114823.5</v>
      </c>
      <c r="AD12" s="32">
        <f>ROUND(AC12/J12*[2]Численность!AO11,2)</f>
        <v>60236.480000000003</v>
      </c>
      <c r="AE12" s="32">
        <f t="shared" si="6"/>
        <v>54587.02</v>
      </c>
      <c r="AF12" s="35">
        <f t="shared" si="7"/>
        <v>589866.43999999994</v>
      </c>
      <c r="AG12" s="35">
        <f t="shared" si="16"/>
        <v>309444.31</v>
      </c>
      <c r="AH12" s="35">
        <f t="shared" si="8"/>
        <v>280422.13</v>
      </c>
      <c r="AI12" s="42" t="s">
        <v>40</v>
      </c>
      <c r="AJ12" s="39"/>
    </row>
    <row r="13" spans="1:36" s="40" customFormat="1" ht="24.95" customHeight="1">
      <c r="A13" s="27">
        <f t="shared" si="17"/>
        <v>5</v>
      </c>
      <c r="B13" s="41" t="s">
        <v>41</v>
      </c>
      <c r="C13" s="29" t="s">
        <v>42</v>
      </c>
      <c r="D13" s="30">
        <f>'[1]037'!$E$4</f>
        <v>140</v>
      </c>
      <c r="E13" s="31">
        <f>'[1]037'!$S$4</f>
        <v>71.5</v>
      </c>
      <c r="F13" s="30">
        <f>'[1]037'!$V$6</f>
        <v>33</v>
      </c>
      <c r="G13" s="30">
        <f>'[1]037'!$T$5</f>
        <v>18</v>
      </c>
      <c r="H13" s="30">
        <f>'[1]037'!$T$4</f>
        <v>54.54545454545454</v>
      </c>
      <c r="I13" s="30">
        <f>'[1]037'!$U$4</f>
        <v>2</v>
      </c>
      <c r="J13" s="30">
        <f>[2]Численность!AN12</f>
        <v>15051</v>
      </c>
      <c r="K13" s="32">
        <f t="shared" si="9"/>
        <v>415327.98</v>
      </c>
      <c r="L13" s="32">
        <f>ROUND(K13/J13*[2]Численность!AO12,2)</f>
        <v>351970.53</v>
      </c>
      <c r="M13" s="32">
        <f t="shared" si="10"/>
        <v>63357.449999999953</v>
      </c>
      <c r="N13" s="32">
        <f t="shared" si="18"/>
        <v>0</v>
      </c>
      <c r="O13" s="32">
        <f>ROUND(N13/J13*[2]Численность!AO12,2)</f>
        <v>0</v>
      </c>
      <c r="P13" s="32">
        <f t="shared" si="1"/>
        <v>0</v>
      </c>
      <c r="Q13" s="32">
        <f t="shared" si="11"/>
        <v>415327.98</v>
      </c>
      <c r="R13" s="32">
        <f t="shared" si="12"/>
        <v>351970.53</v>
      </c>
      <c r="S13" s="32">
        <f t="shared" si="12"/>
        <v>63357.449999999953</v>
      </c>
      <c r="T13" s="30">
        <f>[2]Выполнение_объемов!N13</f>
        <v>71</v>
      </c>
      <c r="U13" s="33">
        <f t="shared" si="2"/>
        <v>0.9</v>
      </c>
      <c r="V13" s="34">
        <f>'[2]Выполнение показ смертности'!Q11</f>
        <v>37</v>
      </c>
      <c r="W13" s="33">
        <f>'[2]Выполнение показ смертности'!R11</f>
        <v>0</v>
      </c>
      <c r="X13" s="35">
        <f t="shared" si="3"/>
        <v>0</v>
      </c>
      <c r="Y13" s="35">
        <f t="shared" si="4"/>
        <v>0</v>
      </c>
      <c r="Z13" s="35">
        <f t="shared" si="5"/>
        <v>0</v>
      </c>
      <c r="AA13" s="35">
        <f t="shared" si="13"/>
        <v>415327.98</v>
      </c>
      <c r="AB13" s="36">
        <f t="shared" si="14"/>
        <v>0</v>
      </c>
      <c r="AC13" s="37">
        <f t="shared" si="15"/>
        <v>0</v>
      </c>
      <c r="AD13" s="32">
        <f>ROUND(AC13/J13*[2]Численность!AO12,2)</f>
        <v>0</v>
      </c>
      <c r="AE13" s="32">
        <f t="shared" si="6"/>
        <v>0</v>
      </c>
      <c r="AF13" s="35">
        <f t="shared" si="7"/>
        <v>0</v>
      </c>
      <c r="AG13" s="35">
        <f t="shared" si="16"/>
        <v>0</v>
      </c>
      <c r="AH13" s="35">
        <f t="shared" si="8"/>
        <v>0</v>
      </c>
      <c r="AI13" s="38" t="s">
        <v>43</v>
      </c>
      <c r="AJ13" s="39"/>
    </row>
    <row r="14" spans="1:36" s="40" customFormat="1" ht="24.95" customHeight="1">
      <c r="A14" s="27">
        <f t="shared" si="17"/>
        <v>6</v>
      </c>
      <c r="B14" s="41" t="s">
        <v>44</v>
      </c>
      <c r="C14" s="29" t="s">
        <v>45</v>
      </c>
      <c r="D14" s="30">
        <f>'[1]038'!$E$4</f>
        <v>140</v>
      </c>
      <c r="E14" s="31">
        <f>'[1]038'!$S$4</f>
        <v>91.5</v>
      </c>
      <c r="F14" s="30">
        <f>'[1]038'!$V$6</f>
        <v>33</v>
      </c>
      <c r="G14" s="30">
        <f>'[1]038'!$T$5</f>
        <v>22</v>
      </c>
      <c r="H14" s="30">
        <f>'[1]038'!$T$4</f>
        <v>66.666666666666657</v>
      </c>
      <c r="I14" s="30">
        <f>'[1]038'!$U$4</f>
        <v>3</v>
      </c>
      <c r="J14" s="30">
        <f>[2]Численность!AN13</f>
        <v>30475</v>
      </c>
      <c r="K14" s="32">
        <f t="shared" si="9"/>
        <v>840948.79</v>
      </c>
      <c r="L14" s="32">
        <f>ROUND(K14/J14*[2]Численность!AO13,2)</f>
        <v>258507.24</v>
      </c>
      <c r="M14" s="32">
        <f t="shared" si="10"/>
        <v>582441.55000000005</v>
      </c>
      <c r="N14" s="32">
        <f t="shared" si="18"/>
        <v>2498738.1800000002</v>
      </c>
      <c r="O14" s="32">
        <f>ROUND(N14/J14*[2]Численность!AO13,2)</f>
        <v>768110.89</v>
      </c>
      <c r="P14" s="32">
        <f t="shared" si="1"/>
        <v>1730627.29</v>
      </c>
      <c r="Q14" s="32">
        <f t="shared" si="11"/>
        <v>3339686.9699999997</v>
      </c>
      <c r="R14" s="32">
        <f t="shared" si="12"/>
        <v>1026618.13</v>
      </c>
      <c r="S14" s="32">
        <f t="shared" si="12"/>
        <v>2313068.84</v>
      </c>
      <c r="T14" s="30">
        <f>[2]Выполнение_объемов!N14</f>
        <v>90</v>
      </c>
      <c r="U14" s="33">
        <f t="shared" si="2"/>
        <v>1</v>
      </c>
      <c r="V14" s="34">
        <f>'[2]Выполнение показ смертности'!Q12</f>
        <v>-32</v>
      </c>
      <c r="W14" s="33">
        <f>'[2]Выполнение показ смертности'!R12</f>
        <v>1</v>
      </c>
      <c r="X14" s="35">
        <f t="shared" si="3"/>
        <v>3339686.9699999997</v>
      </c>
      <c r="Y14" s="35">
        <f t="shared" si="4"/>
        <v>1026618.13</v>
      </c>
      <c r="Z14" s="35">
        <f t="shared" si="5"/>
        <v>2313068.84</v>
      </c>
      <c r="AA14" s="35">
        <f t="shared" si="13"/>
        <v>0</v>
      </c>
      <c r="AB14" s="36">
        <f t="shared" si="14"/>
        <v>0.16565917154130733</v>
      </c>
      <c r="AC14" s="37">
        <f t="shared" si="15"/>
        <v>807241.87</v>
      </c>
      <c r="AD14" s="32">
        <f>ROUND(AC14/J14*[2]Численность!AO13,2)</f>
        <v>248145.75</v>
      </c>
      <c r="AE14" s="32">
        <f t="shared" si="6"/>
        <v>559096.12</v>
      </c>
      <c r="AF14" s="35">
        <f t="shared" si="7"/>
        <v>4146928.84</v>
      </c>
      <c r="AG14" s="35">
        <f t="shared" si="16"/>
        <v>1274763.8799999999</v>
      </c>
      <c r="AH14" s="35">
        <f t="shared" si="8"/>
        <v>2872164.96</v>
      </c>
      <c r="AI14" s="38" t="s">
        <v>34</v>
      </c>
      <c r="AJ14" s="39"/>
    </row>
    <row r="15" spans="1:36" s="40" customFormat="1" ht="24.95" customHeight="1">
      <c r="A15" s="27">
        <f t="shared" si="17"/>
        <v>7</v>
      </c>
      <c r="B15" s="41" t="s">
        <v>46</v>
      </c>
      <c r="C15" s="29" t="s">
        <v>47</v>
      </c>
      <c r="D15" s="30">
        <f>'[1]050'!$E$4</f>
        <v>105</v>
      </c>
      <c r="E15" s="31">
        <f>'[1]050'!$S$4</f>
        <v>54.5</v>
      </c>
      <c r="F15" s="30">
        <f>'[1]050'!$V$6</f>
        <v>27</v>
      </c>
      <c r="G15" s="30">
        <f>'[1]050'!$T$5</f>
        <v>15</v>
      </c>
      <c r="H15" s="30">
        <f>'[1]050'!$T$4</f>
        <v>55.555555555555557</v>
      </c>
      <c r="I15" s="30">
        <f>'[1]050'!$U$4</f>
        <v>2</v>
      </c>
      <c r="J15" s="30">
        <f>[2]Численность!AN14</f>
        <v>5784</v>
      </c>
      <c r="K15" s="32">
        <f t="shared" si="9"/>
        <v>159607.79999999999</v>
      </c>
      <c r="L15" s="32">
        <f>ROUND(K15/J15*[2]Численность!AO14,2)</f>
        <v>112393.25</v>
      </c>
      <c r="M15" s="32">
        <f t="shared" si="10"/>
        <v>47214.549999999988</v>
      </c>
      <c r="N15" s="32">
        <f t="shared" si="18"/>
        <v>0</v>
      </c>
      <c r="O15" s="32">
        <f>ROUND(N15/J15*[2]Численность!AO14,2)</f>
        <v>0</v>
      </c>
      <c r="P15" s="32">
        <f t="shared" si="1"/>
        <v>0</v>
      </c>
      <c r="Q15" s="32">
        <f t="shared" si="11"/>
        <v>159607.79999999999</v>
      </c>
      <c r="R15" s="32">
        <f t="shared" si="12"/>
        <v>112393.25</v>
      </c>
      <c r="S15" s="32">
        <f t="shared" si="12"/>
        <v>47214.549999999988</v>
      </c>
      <c r="T15" s="30">
        <f>[2]Выполнение_объемов!N15</f>
        <v>80</v>
      </c>
      <c r="U15" s="33">
        <f t="shared" si="2"/>
        <v>0.9</v>
      </c>
      <c r="V15" s="34">
        <f>'[2]Выполнение показ смертности'!Q13</f>
        <v>1</v>
      </c>
      <c r="W15" s="33">
        <f>'[2]Выполнение показ смертности'!R13</f>
        <v>0.95</v>
      </c>
      <c r="X15" s="35">
        <f t="shared" si="3"/>
        <v>136464.66999999998</v>
      </c>
      <c r="Y15" s="35">
        <f t="shared" si="4"/>
        <v>96096.23</v>
      </c>
      <c r="Z15" s="35">
        <f t="shared" si="5"/>
        <v>40368.44</v>
      </c>
      <c r="AA15" s="35">
        <f t="shared" si="13"/>
        <v>23143.130000000005</v>
      </c>
      <c r="AB15" s="36">
        <f t="shared" si="14"/>
        <v>6.7690847615152075E-3</v>
      </c>
      <c r="AC15" s="37">
        <f t="shared" si="15"/>
        <v>32985.129999999997</v>
      </c>
      <c r="AD15" s="32">
        <f>ROUND(AC15/J15*[2]Численность!AO14,2)</f>
        <v>23227.599999999999</v>
      </c>
      <c r="AE15" s="32">
        <f t="shared" si="6"/>
        <v>9757.5299999999988</v>
      </c>
      <c r="AF15" s="35">
        <f t="shared" si="7"/>
        <v>169449.8</v>
      </c>
      <c r="AG15" s="35">
        <f t="shared" si="16"/>
        <v>119323.82999999999</v>
      </c>
      <c r="AH15" s="35">
        <f t="shared" si="8"/>
        <v>50125.97</v>
      </c>
      <c r="AI15" s="38" t="s">
        <v>48</v>
      </c>
      <c r="AJ15" s="39"/>
    </row>
    <row r="16" spans="1:36" s="40" customFormat="1" ht="24.95" customHeight="1">
      <c r="A16" s="27">
        <f t="shared" si="17"/>
        <v>8</v>
      </c>
      <c r="B16" s="41" t="s">
        <v>49</v>
      </c>
      <c r="C16" s="29" t="s">
        <v>50</v>
      </c>
      <c r="D16" s="30">
        <f>'[1]168'!$E$4</f>
        <v>86</v>
      </c>
      <c r="E16" s="31">
        <f>'[1]168'!$S$4</f>
        <v>33</v>
      </c>
      <c r="F16" s="30">
        <f>'[1]168'!$V$6</f>
        <v>24</v>
      </c>
      <c r="G16" s="30">
        <f>'[1]168'!$T$5</f>
        <v>7</v>
      </c>
      <c r="H16" s="30">
        <f>'[1]168'!$T$4</f>
        <v>29.166666666666668</v>
      </c>
      <c r="I16" s="30">
        <f>'[1]168'!$U$4</f>
        <v>1</v>
      </c>
      <c r="J16" s="30">
        <f>[2]Численность!AN15</f>
        <v>2333</v>
      </c>
      <c r="K16" s="32">
        <f t="shared" si="9"/>
        <v>0</v>
      </c>
      <c r="L16" s="32">
        <f>ROUND(K16/J16*[2]Численность!AO15,2)</f>
        <v>0</v>
      </c>
      <c r="M16" s="32">
        <f t="shared" si="10"/>
        <v>0</v>
      </c>
      <c r="N16" s="32">
        <f t="shared" si="18"/>
        <v>0</v>
      </c>
      <c r="O16" s="32">
        <f>ROUND(N16/J16*[2]Численность!AO15,2)</f>
        <v>0</v>
      </c>
      <c r="P16" s="32">
        <f t="shared" si="1"/>
        <v>0</v>
      </c>
      <c r="Q16" s="32">
        <f t="shared" si="11"/>
        <v>0</v>
      </c>
      <c r="R16" s="32">
        <f t="shared" si="12"/>
        <v>0</v>
      </c>
      <c r="S16" s="32">
        <f t="shared" si="12"/>
        <v>0</v>
      </c>
      <c r="T16" s="30">
        <f>[2]Выполнение_объемов!N16</f>
        <v>1</v>
      </c>
      <c r="U16" s="33">
        <f t="shared" si="2"/>
        <v>0</v>
      </c>
      <c r="V16" s="34">
        <f>'[2]Выполнение показ смертности'!Q14</f>
        <v>12</v>
      </c>
      <c r="W16" s="33">
        <f>'[2]Выполнение показ смертности'!R14</f>
        <v>0.8</v>
      </c>
      <c r="X16" s="35">
        <f t="shared" si="3"/>
        <v>0</v>
      </c>
      <c r="Y16" s="35">
        <f t="shared" si="4"/>
        <v>0</v>
      </c>
      <c r="Z16" s="35">
        <f t="shared" si="5"/>
        <v>0</v>
      </c>
      <c r="AA16" s="35">
        <f t="shared" si="13"/>
        <v>0</v>
      </c>
      <c r="AB16" s="36">
        <f t="shared" si="14"/>
        <v>0</v>
      </c>
      <c r="AC16" s="37">
        <f t="shared" si="15"/>
        <v>0</v>
      </c>
      <c r="AD16" s="32">
        <f>ROUND(AC16/J16*[2]Численность!AO15,2)</f>
        <v>0</v>
      </c>
      <c r="AE16" s="32">
        <f t="shared" si="6"/>
        <v>0</v>
      </c>
      <c r="AF16" s="35">
        <f t="shared" si="7"/>
        <v>0</v>
      </c>
      <c r="AG16" s="35">
        <f t="shared" si="16"/>
        <v>0</v>
      </c>
      <c r="AH16" s="35">
        <f t="shared" si="8"/>
        <v>0</v>
      </c>
      <c r="AI16" s="38" t="s">
        <v>51</v>
      </c>
      <c r="AJ16" s="39"/>
    </row>
    <row r="17" spans="1:36" s="40" customFormat="1" ht="24.95" customHeight="1">
      <c r="A17" s="27">
        <f t="shared" si="17"/>
        <v>9</v>
      </c>
      <c r="B17" s="43" t="s">
        <v>52</v>
      </c>
      <c r="C17" s="29" t="s">
        <v>53</v>
      </c>
      <c r="D17" s="30">
        <f>'[1]051'!$E$4</f>
        <v>105</v>
      </c>
      <c r="E17" s="31">
        <f>'[1]051'!$S$4</f>
        <v>66.5</v>
      </c>
      <c r="F17" s="30">
        <f>'[1]051'!$V$6</f>
        <v>27</v>
      </c>
      <c r="G17" s="30">
        <f>'[1]051'!$T$5</f>
        <v>18</v>
      </c>
      <c r="H17" s="30">
        <f>'[1]051'!$T$4</f>
        <v>66.666666666666657</v>
      </c>
      <c r="I17" s="30">
        <f>'[1]051'!$U$4</f>
        <v>3</v>
      </c>
      <c r="J17" s="30">
        <f>[2]Численность!AN16</f>
        <v>9065</v>
      </c>
      <c r="K17" s="32">
        <f t="shared" si="9"/>
        <v>250146.05</v>
      </c>
      <c r="L17" s="32">
        <f>ROUND(K17/J17*[2]Численность!AO16,2)</f>
        <v>114186.91</v>
      </c>
      <c r="M17" s="32">
        <f t="shared" si="10"/>
        <v>135959.13999999998</v>
      </c>
      <c r="N17" s="32">
        <f t="shared" si="18"/>
        <v>1816022.83</v>
      </c>
      <c r="O17" s="32">
        <f>ROUND(N17/J17*[2]Численность!AO16,2)</f>
        <v>828979.86</v>
      </c>
      <c r="P17" s="32">
        <f t="shared" si="1"/>
        <v>987042.97000000009</v>
      </c>
      <c r="Q17" s="32">
        <f t="shared" si="11"/>
        <v>2066168.8800000001</v>
      </c>
      <c r="R17" s="32">
        <f t="shared" si="12"/>
        <v>943166.77</v>
      </c>
      <c r="S17" s="32">
        <f t="shared" si="12"/>
        <v>1123002.1100000001</v>
      </c>
      <c r="T17" s="30">
        <f>[2]Выполнение_объемов!N17</f>
        <v>84</v>
      </c>
      <c r="U17" s="33">
        <f t="shared" si="2"/>
        <v>0.9</v>
      </c>
      <c r="V17" s="34">
        <f>'[2]Выполнение показ смертности'!Q15</f>
        <v>5</v>
      </c>
      <c r="W17" s="33">
        <f>'[2]Выполнение показ смертности'!R15</f>
        <v>0.95</v>
      </c>
      <c r="X17" s="35">
        <f t="shared" si="3"/>
        <v>1766574.3900000001</v>
      </c>
      <c r="Y17" s="35">
        <f t="shared" si="4"/>
        <v>806407.59</v>
      </c>
      <c r="Z17" s="35">
        <f t="shared" si="5"/>
        <v>960166.8</v>
      </c>
      <c r="AA17" s="35">
        <f t="shared" si="13"/>
        <v>299594.49</v>
      </c>
      <c r="AB17" s="36">
        <f t="shared" si="14"/>
        <v>8.7627748511259554E-2</v>
      </c>
      <c r="AC17" s="37">
        <f t="shared" si="15"/>
        <v>427001.94</v>
      </c>
      <c r="AD17" s="32">
        <f>ROUND(AC17/J17*[2]Численность!AO16,2)</f>
        <v>194918.26</v>
      </c>
      <c r="AE17" s="32">
        <f t="shared" si="6"/>
        <v>232083.68</v>
      </c>
      <c r="AF17" s="35">
        <f t="shared" si="7"/>
        <v>2193576.33</v>
      </c>
      <c r="AG17" s="35">
        <f t="shared" si="16"/>
        <v>1001325.85</v>
      </c>
      <c r="AH17" s="35">
        <f t="shared" si="8"/>
        <v>1192250.48</v>
      </c>
      <c r="AI17" s="38" t="s">
        <v>54</v>
      </c>
      <c r="AJ17" s="39"/>
    </row>
    <row r="18" spans="1:36" s="40" customFormat="1" ht="24.95" customHeight="1">
      <c r="A18" s="27"/>
      <c r="B18" s="43"/>
      <c r="C18" s="29"/>
      <c r="D18" s="30"/>
      <c r="E18" s="31"/>
      <c r="F18" s="30"/>
      <c r="G18" s="30"/>
      <c r="H18" s="30"/>
      <c r="I18" s="30"/>
      <c r="J18" s="30"/>
      <c r="K18" s="32"/>
      <c r="L18" s="32"/>
      <c r="M18" s="32"/>
      <c r="N18" s="32"/>
      <c r="O18" s="32"/>
      <c r="P18" s="32"/>
      <c r="Q18" s="32"/>
      <c r="R18" s="32"/>
      <c r="S18" s="32"/>
      <c r="T18" s="30"/>
      <c r="U18" s="33"/>
      <c r="V18" s="34"/>
      <c r="W18" s="33"/>
      <c r="X18" s="35"/>
      <c r="Y18" s="35"/>
      <c r="Z18" s="35"/>
      <c r="AA18" s="35"/>
      <c r="AB18" s="38"/>
      <c r="AC18" s="44"/>
      <c r="AD18" s="44"/>
      <c r="AE18" s="44"/>
      <c r="AF18" s="44"/>
      <c r="AG18" s="44"/>
      <c r="AH18" s="44"/>
      <c r="AI18" s="38"/>
    </row>
    <row r="19" spans="1:36" s="53" customFormat="1" ht="32.25" customHeight="1">
      <c r="A19" s="23"/>
      <c r="B19" s="45" t="s">
        <v>55</v>
      </c>
      <c r="C19" s="46"/>
      <c r="D19" s="47">
        <f>SUM(D9:D17)</f>
        <v>1027</v>
      </c>
      <c r="E19" s="48">
        <f>SUM(E9:E17)</f>
        <v>562</v>
      </c>
      <c r="F19" s="48">
        <f>SUM(F9:F17)</f>
        <v>249</v>
      </c>
      <c r="G19" s="48">
        <f>SUM(G9:G17)</f>
        <v>140</v>
      </c>
      <c r="H19" s="47">
        <f>G19/F19*100</f>
        <v>56.224899598393577</v>
      </c>
      <c r="I19" s="49"/>
      <c r="J19" s="47">
        <f>SUM(J9:J18)</f>
        <v>637347</v>
      </c>
      <c r="K19" s="32">
        <f t="shared" ref="K19" si="19">L19+M19</f>
        <v>17523027.300000001</v>
      </c>
      <c r="L19" s="50">
        <f>SUM(L9:L18)</f>
        <v>10782357.060000001</v>
      </c>
      <c r="M19" s="50">
        <f>SUM(M9:M18)</f>
        <v>6740670.2399999993</v>
      </c>
      <c r="N19" s="32">
        <f t="shared" ref="N19" si="20">O19+P19</f>
        <v>7509868.8500000006</v>
      </c>
      <c r="O19" s="50">
        <f>SUM(O9:O18)</f>
        <v>4092906.77</v>
      </c>
      <c r="P19" s="50">
        <f>SUM(P9:P18)</f>
        <v>3416962.0800000005</v>
      </c>
      <c r="Q19" s="32">
        <f t="shared" ref="Q19" si="21">R19+S19</f>
        <v>25032896.149999999</v>
      </c>
      <c r="R19" s="50">
        <f>SUM(R9:R18)</f>
        <v>14875263.83</v>
      </c>
      <c r="S19" s="50">
        <f>SUM(S9:S18)</f>
        <v>10157632.32</v>
      </c>
      <c r="T19" s="30">
        <f>[2]Выполнение_объемов!N27</f>
        <v>0</v>
      </c>
      <c r="U19" s="51"/>
      <c r="V19" s="52">
        <f>'[2]Выполнение показ смертности'!Q17</f>
        <v>-2.42</v>
      </c>
      <c r="W19" s="33"/>
      <c r="X19" s="35">
        <f>Y19+Z19</f>
        <v>20159988.360000003</v>
      </c>
      <c r="Y19" s="35">
        <f>SUM(Y9:Y17)</f>
        <v>11440936.910000002</v>
      </c>
      <c r="Z19" s="35">
        <f>SUM(Z9:Z17)</f>
        <v>8719051.4500000011</v>
      </c>
      <c r="AA19" s="35">
        <f>SUM(AA9:AA17)</f>
        <v>4872907.79</v>
      </c>
      <c r="AB19" s="38"/>
      <c r="AC19" s="35">
        <f>SUM(AC9:AC17)</f>
        <v>4872907.8000000007</v>
      </c>
      <c r="AD19" s="35"/>
      <c r="AE19" s="35"/>
      <c r="AF19" s="35">
        <f>SUM(AF9:AF17)</f>
        <v>25032896.160000004</v>
      </c>
      <c r="AG19" s="35">
        <f>SUM(AG9:AG17)</f>
        <v>14206346.780000001</v>
      </c>
      <c r="AH19" s="35">
        <f>SUM(AH9:AH17)</f>
        <v>10826549.380000001</v>
      </c>
      <c r="AI19" s="38"/>
    </row>
    <row r="20" spans="1:36" ht="27.75" customHeight="1">
      <c r="A20" s="44"/>
      <c r="B20" s="44" t="s">
        <v>56</v>
      </c>
      <c r="C20" s="44"/>
      <c r="D20" s="44"/>
      <c r="E20" s="31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54"/>
      <c r="V20" s="44"/>
      <c r="W20" s="54"/>
      <c r="X20" s="35">
        <f>B26-X19</f>
        <v>4872907.8000000007</v>
      </c>
      <c r="Y20" s="55"/>
      <c r="Z20" s="44"/>
      <c r="AA20" s="38"/>
      <c r="AB20" s="38"/>
      <c r="AC20" s="35">
        <f>AC19-X20</f>
        <v>0</v>
      </c>
      <c r="AD20" s="35"/>
      <c r="AE20" s="35"/>
      <c r="AF20" s="35">
        <f>AF19-B26</f>
        <v>0</v>
      </c>
      <c r="AG20" s="35"/>
      <c r="AH20" s="35"/>
      <c r="AI20" s="38"/>
    </row>
    <row r="21" spans="1:36">
      <c r="A21" s="56"/>
      <c r="B21" s="56" t="s">
        <v>57</v>
      </c>
      <c r="C21" s="57"/>
      <c r="D21" s="56">
        <f>SUMIF($I$9:$I$18,1,$D$9:$D$18)</f>
        <v>86</v>
      </c>
      <c r="E21" s="58">
        <f>SUMIF($I$9:$I$18,1,$E$9:$E$18)</f>
        <v>33</v>
      </c>
      <c r="F21" s="56">
        <f>SUMIF($I$9:$I$18,1,$F$9:$F$18)</f>
        <v>24</v>
      </c>
      <c r="G21" s="56">
        <f>SUMIF($I$9:$I$18,1,$G$9:$G$18)</f>
        <v>7</v>
      </c>
      <c r="H21" s="56"/>
      <c r="I21" s="56"/>
      <c r="J21" s="59">
        <f>SUMIF($I$9:$I$18,1,$J$9:$J$18)</f>
        <v>2333</v>
      </c>
      <c r="N21" s="60"/>
      <c r="X21" s="60"/>
    </row>
    <row r="22" spans="1:36">
      <c r="A22" s="61"/>
      <c r="B22" s="61" t="s">
        <v>58</v>
      </c>
      <c r="C22" s="62"/>
      <c r="D22" s="61">
        <f>SUMIF($I$9:$I$18,2,$D$9:$D$18)</f>
        <v>525</v>
      </c>
      <c r="E22" s="63">
        <f>SUMIF($I$9:$I$18,2,$E$9:$E$18)</f>
        <v>254</v>
      </c>
      <c r="F22" s="61">
        <f>SUMIF($I$9:$I$18,2,$F$9:$F$18)</f>
        <v>126</v>
      </c>
      <c r="G22" s="61">
        <f>SUMIF($I$9:$I$18,2,$G$9:$G$18)</f>
        <v>66</v>
      </c>
      <c r="H22" s="61"/>
      <c r="I22" s="61"/>
      <c r="J22" s="64">
        <f>SUMIF($I$9:$I$18,2,$J$9:$J$18)</f>
        <v>344616</v>
      </c>
    </row>
    <row r="23" spans="1:36">
      <c r="A23" s="61"/>
      <c r="B23" s="61" t="s">
        <v>59</v>
      </c>
      <c r="C23" s="62"/>
      <c r="D23" s="61">
        <f>SUMIF($I$9:$I$18,3,$D$9:$D$18)</f>
        <v>416</v>
      </c>
      <c r="E23" s="63">
        <f>SUMIF($I$9:$I$18,3,$E$9:$E$18)</f>
        <v>275</v>
      </c>
      <c r="F23" s="61">
        <f>SUMIF($I$9:$I$18,3,$F$9:$F$18)</f>
        <v>99</v>
      </c>
      <c r="G23" s="61">
        <f>SUMIF($I$9:$I$18,3,$G$9:$G$18)</f>
        <v>67</v>
      </c>
      <c r="H23" s="61"/>
      <c r="I23" s="61"/>
      <c r="J23" s="64">
        <f>SUMIF($I$9:$I$18,3,$J$9:$J$18)</f>
        <v>290398</v>
      </c>
    </row>
    <row r="25" spans="1:36" ht="132" customHeight="1">
      <c r="A25" s="38"/>
      <c r="B25" s="22" t="s">
        <v>60</v>
      </c>
      <c r="C25" s="13" t="s">
        <v>61</v>
      </c>
      <c r="D25" s="14"/>
      <c r="E25" s="15"/>
      <c r="F25" s="65"/>
      <c r="G25" s="65"/>
      <c r="H25" s="13" t="s">
        <v>62</v>
      </c>
      <c r="I25" s="14"/>
      <c r="J25" s="15"/>
      <c r="K25" s="13" t="s">
        <v>63</v>
      </c>
      <c r="L25" s="15"/>
      <c r="M25" s="13" t="s">
        <v>64</v>
      </c>
      <c r="N25" s="15"/>
    </row>
    <row r="26" spans="1:36" s="40" customFormat="1" ht="40.5" customHeight="1">
      <c r="A26" s="44"/>
      <c r="B26" s="35">
        <f>[2]Стим_Запланировано!D17</f>
        <v>25032896.160000004</v>
      </c>
      <c r="C26" s="66"/>
      <c r="D26" s="67"/>
      <c r="E26" s="68">
        <f>ROUND(B26*0.7,2)</f>
        <v>17523027.309999999</v>
      </c>
      <c r="F26" s="69"/>
      <c r="G26" s="69"/>
      <c r="H26" s="66"/>
      <c r="I26" s="67"/>
      <c r="J26" s="70">
        <f>IFERROR(E26/(J22+J23),0)</f>
        <v>27.594710211113455</v>
      </c>
      <c r="K26" s="66"/>
      <c r="L26" s="68">
        <f>B26-E26</f>
        <v>7509868.8500000052</v>
      </c>
      <c r="M26" s="66"/>
      <c r="N26" s="70">
        <f>IFERROR($L$26/$E$23,0)</f>
        <v>27308.61400000002</v>
      </c>
      <c r="U26" s="6"/>
      <c r="W26" s="6"/>
    </row>
  </sheetData>
  <mergeCells count="24">
    <mergeCell ref="C25:E25"/>
    <mergeCell ref="H25:J25"/>
    <mergeCell ref="K25:L25"/>
    <mergeCell ref="M25:N25"/>
    <mergeCell ref="X6:Z6"/>
    <mergeCell ref="AA6:AA7"/>
    <mergeCell ref="AB6:AB7"/>
    <mergeCell ref="AC6:AE6"/>
    <mergeCell ref="AF6:AH6"/>
    <mergeCell ref="AI6:AI7"/>
    <mergeCell ref="N6:P6"/>
    <mergeCell ref="Q6:S6"/>
    <mergeCell ref="T6:T7"/>
    <mergeCell ref="U6:U7"/>
    <mergeCell ref="V6:V7"/>
    <mergeCell ref="W6:W7"/>
    <mergeCell ref="A2:M2"/>
    <mergeCell ref="A3:M3"/>
    <mergeCell ref="A6:A7"/>
    <mergeCell ref="B6:B7"/>
    <mergeCell ref="C6:C7"/>
    <mergeCell ref="D6:I6"/>
    <mergeCell ref="J6:J7"/>
    <mergeCell ref="K6:M6"/>
  </mergeCells>
  <conditionalFormatting sqref="I9:I18">
    <cfRule type="cellIs" dxfId="4" priority="4" operator="equal">
      <formula>3</formula>
    </cfRule>
    <cfRule type="cellIs" dxfId="3" priority="5" operator="equal">
      <formula>2</formula>
    </cfRule>
  </conditionalFormatting>
  <conditionalFormatting sqref="U9:U17 W9:Z17">
    <cfRule type="cellIs" dxfId="2" priority="3" operator="equal">
      <formula>0</formula>
    </cfRule>
  </conditionalFormatting>
  <conditionalFormatting sqref="AC20:AE20">
    <cfRule type="cellIs" dxfId="1" priority="2" operator="equal">
      <formula>0</formula>
    </cfRule>
  </conditionalFormatting>
  <conditionalFormatting sqref="AC20:AH20">
    <cfRule type="cellIs" dxfId="0" priority="1" operator="equal">
      <formula>0</formula>
    </cfRule>
  </conditionalFormatting>
  <pageMargins left="0.2" right="0.15748031496062992" top="0.51181102362204722" bottom="0.39370078740157483" header="0.31496062992125984" footer="0.31496062992125984"/>
  <pageSetup paperSize="9" scale="2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Оценка_6 мес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Kiseleva.LA</dc:creator>
  <cp:lastModifiedBy>Kiseleva.LA</cp:lastModifiedBy>
  <dcterms:created xsi:type="dcterms:W3CDTF">2026-09-21T09:43:39Z</dcterms:created>
  <dcterms:modified xsi:type="dcterms:W3CDTF">2026-09-21T09:45:23Z</dcterms:modified>
</cp:coreProperties>
</file>